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tariosystems-my.sharepoint.com/personal/sharon_dire_ontariosystems_com/Documents/Desktop/Personal/Messaging Examples/"/>
    </mc:Choice>
  </mc:AlternateContent>
  <xr:revisionPtr revIDLastSave="0" documentId="8_{5E67BE58-D751-4FB5-84FE-1957F03A43BD}" xr6:coauthVersionLast="47" xr6:coauthVersionMax="47" xr10:uidLastSave="{00000000-0000-0000-0000-000000000000}"/>
  <bookViews>
    <workbookView xWindow="-120" yWindow="-120" windowWidth="29040" windowHeight="15840" xr2:uid="{64D50CD3-4BA8-4E5D-941E-83AF92F24B05}"/>
  </bookViews>
  <sheets>
    <sheet name="Model" sheetId="4" r:id="rId1"/>
    <sheet name="Formula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4" l="1"/>
  <c r="C37" i="4" s="1"/>
  <c r="D5" i="4"/>
  <c r="F15" i="4"/>
  <c r="F14" i="4"/>
  <c r="F13" i="4"/>
  <c r="C34" i="5" l="1"/>
  <c r="C38" i="4"/>
  <c r="C42" i="5"/>
  <c r="D23" i="4"/>
  <c r="C31" i="5"/>
  <c r="D21" i="4"/>
  <c r="D22" i="4"/>
  <c r="C30" i="5" l="1"/>
  <c r="C36" i="5"/>
  <c r="B12" i="5"/>
  <c r="B13" i="5"/>
  <c r="D47" i="4" l="1"/>
  <c r="D46" i="4"/>
  <c r="D48" i="4" s="1"/>
  <c r="F33" i="4"/>
  <c r="B18" i="5"/>
  <c r="F13" i="5" l="1"/>
  <c r="C38" i="5"/>
  <c r="C37" i="5"/>
  <c r="E19" i="5"/>
  <c r="F12" i="5"/>
  <c r="B16" i="5"/>
  <c r="B2" i="5"/>
  <c r="D13" i="4"/>
  <c r="C32" i="4" s="1"/>
  <c r="E17" i="5"/>
  <c r="F17" i="5" l="1"/>
  <c r="F14" i="5"/>
  <c r="F11" i="5"/>
  <c r="B15" i="5"/>
  <c r="B23" i="5" s="1"/>
  <c r="D14" i="4" l="1"/>
  <c r="E14" i="4" s="1"/>
  <c r="B3" i="5"/>
  <c r="C33" i="4" l="1"/>
  <c r="F15" i="5"/>
  <c r="C16" i="4"/>
  <c r="D15" i="4"/>
  <c r="C34" i="4" s="1"/>
  <c r="C35" i="4" l="1"/>
  <c r="E15" i="4"/>
  <c r="B6" i="5"/>
  <c r="B7" i="5"/>
  <c r="F16" i="5" s="1"/>
  <c r="D16" i="4"/>
  <c r="E13" i="4"/>
  <c r="D43" i="4" l="1"/>
  <c r="E16" i="4"/>
  <c r="F16" i="4"/>
  <c r="F23" i="5" l="1"/>
  <c r="C27" i="5" s="1"/>
  <c r="C44" i="5" s="1"/>
  <c r="C45" i="5" s="1"/>
  <c r="C28" i="5" l="1"/>
  <c r="C29" i="5" l="1"/>
  <c r="F32" i="4" l="1"/>
  <c r="C32" i="5"/>
  <c r="F35" i="4" s="1"/>
  <c r="C39" i="5" l="1"/>
  <c r="F38" i="4" s="1"/>
  <c r="D40" i="4" s="1"/>
  <c r="C41" i="5" l="1"/>
  <c r="C43" i="5" s="1"/>
  <c r="C47" i="5" s="1"/>
  <c r="D50" i="4" s="1"/>
  <c r="D42" i="4" l="1"/>
  <c r="D44" i="4" s="1"/>
  <c r="C48" i="5"/>
  <c r="D51" i="4" s="1"/>
</calcChain>
</file>

<file path=xl/sharedStrings.xml><?xml version="1.0" encoding="utf-8"?>
<sst xmlns="http://schemas.openxmlformats.org/spreadsheetml/2006/main" count="126" uniqueCount="119">
  <si>
    <r>
      <t xml:space="preserve">Step One: Enter Client Data </t>
    </r>
    <r>
      <rPr>
        <sz val="11"/>
        <color theme="1"/>
        <rFont val="Arial"/>
        <family val="2"/>
      </rPr>
      <t>in the green fields.</t>
    </r>
  </si>
  <si>
    <t>Inputs</t>
  </si>
  <si>
    <t>Client Name</t>
  </si>
  <si>
    <t>Outputs</t>
  </si>
  <si>
    <t>Expected Number of Monthly Electronic Credit/Debit Transactions</t>
  </si>
  <si>
    <t>Expected Annual Electronic Credit/Debit Card Processing Volume</t>
  </si>
  <si>
    <t>Average Transaction Amount</t>
  </si>
  <si>
    <r>
      <t xml:space="preserve">Step Two: Calculate Processing Fees </t>
    </r>
    <r>
      <rPr>
        <sz val="11"/>
        <color theme="1"/>
        <rFont val="Arial"/>
        <family val="2"/>
      </rPr>
      <t>by adding data into the green fields.</t>
    </r>
  </si>
  <si>
    <t>If this is a subcription only pricing model, make sure all percentages below are set to zero.</t>
  </si>
  <si>
    <t>Negotiated Rate Labels</t>
  </si>
  <si>
    <r>
      <t xml:space="preserve">Enter each negotiated rate here.  
</t>
    </r>
    <r>
      <rPr>
        <sz val="11"/>
        <color theme="1"/>
        <rFont val="Arial"/>
        <family val="2"/>
      </rPr>
      <t>Enter 0 if fewer than 3.</t>
    </r>
  </si>
  <si>
    <r>
      <t xml:space="preserve">Estimated Distribution
</t>
    </r>
    <r>
      <rPr>
        <sz val="11"/>
        <color theme="1"/>
        <rFont val="Arial"/>
        <family val="2"/>
      </rPr>
      <t>Enter 0 for Call Center if Client did not add that option.</t>
    </r>
  </si>
  <si>
    <t>Value of Processed Funds per Intake Model</t>
  </si>
  <si>
    <t>Gross Annual</t>
  </si>
  <si>
    <t>Estimated # Monthly Transactions</t>
  </si>
  <si>
    <t>online</t>
  </si>
  <si>
    <t>in person</t>
  </si>
  <si>
    <t>call center</t>
  </si>
  <si>
    <t>Total</t>
  </si>
  <si>
    <t>Step Three: Enter Contract Totals (Must Answer All)</t>
  </si>
  <si>
    <t>Number of Terminals</t>
  </si>
  <si>
    <t>Length of Contract in Months</t>
  </si>
  <si>
    <t>Max. Number of Letters/Month</t>
  </si>
  <si>
    <t>Max. Number of Texts/Month</t>
  </si>
  <si>
    <t>Max. Number of Unattended Messaging/Month</t>
  </si>
  <si>
    <t>Number of RevQ Licenses</t>
  </si>
  <si>
    <t>Monthly Cost / License</t>
  </si>
  <si>
    <t>One-time Professional Services Fee: Hours</t>
  </si>
  <si>
    <t>Cost / Hour</t>
  </si>
  <si>
    <t xml:space="preserve">Net Payments Revenue </t>
  </si>
  <si>
    <t>Subscription Revenue</t>
  </si>
  <si>
    <t>Online</t>
  </si>
  <si>
    <t>Target Cost/Transaction</t>
  </si>
  <si>
    <t>In Person</t>
  </si>
  <si>
    <t>RevQ+ Licenses Cost</t>
  </si>
  <si>
    <t>Call Center</t>
  </si>
  <si>
    <t>Total Monthly Subscription</t>
  </si>
  <si>
    <t>Annual Payments Net Revenue</t>
  </si>
  <si>
    <t>Enter any financial incentives you would like to offer.</t>
  </si>
  <si>
    <t>Adjusted Monthly Subscription</t>
  </si>
  <si>
    <t>Total Monthly Revenue</t>
  </si>
  <si>
    <t>Annual Subscription Revenue</t>
  </si>
  <si>
    <t>Annual Payments Revnue</t>
  </si>
  <si>
    <t>Total Annual Revenue</t>
  </si>
  <si>
    <t xml:space="preserve">One-time Professional Services Fee </t>
  </si>
  <si>
    <t>One-time Professional Services Cost</t>
  </si>
  <si>
    <r>
      <rPr>
        <b/>
        <sz val="11"/>
        <color theme="1"/>
        <rFont val="Arial"/>
        <family val="2"/>
      </rPr>
      <t xml:space="preserve">One-time Professional Services Revenue </t>
    </r>
    <r>
      <rPr>
        <sz val="11"/>
        <color theme="1"/>
        <rFont val="Arial"/>
        <family val="2"/>
      </rPr>
      <t xml:space="preserve">
(NOTE: This revenue is not factured into the Gross Margin)</t>
    </r>
  </si>
  <si>
    <t>Gross Margin</t>
  </si>
  <si>
    <t>Margin %</t>
  </si>
  <si>
    <t>Good to go.</t>
  </si>
  <si>
    <t>Can you incease the rate to get to green?</t>
  </si>
  <si>
    <t>Send to Deal Desk.</t>
  </si>
  <si>
    <t>Expected Number of Monthly Transactions</t>
  </si>
  <si>
    <t>Expected Annual Processing Volume</t>
  </si>
  <si>
    <t>Estimated Monthly Transactions:</t>
  </si>
  <si>
    <t>In person or online</t>
  </si>
  <si>
    <t>Fixed Costs</t>
  </si>
  <si>
    <t>Fixed Monthly Costs</t>
  </si>
  <si>
    <t>Variable Costs</t>
  </si>
  <si>
    <t>Variable Monthly Costs</t>
  </si>
  <si>
    <t>Formuals</t>
  </si>
  <si>
    <t>RevQ Software Hosting</t>
  </si>
  <si>
    <t>Texting - Per text cost</t>
  </si>
  <si>
    <t>Support Services</t>
  </si>
  <si>
    <t>5 hrs/month at $70/hour</t>
  </si>
  <si>
    <t>Texting - Per text cost for calls</t>
  </si>
  <si>
    <t>Analytics/Reporting</t>
  </si>
  <si>
    <t>Per month flat fee contract for RevQ+ only</t>
  </si>
  <si>
    <t>Unattended Messaging</t>
  </si>
  <si>
    <t>Analytics Support</t>
  </si>
  <si>
    <t>10 hrs/month at $100/hour</t>
  </si>
  <si>
    <t>Letters</t>
  </si>
  <si>
    <t>Implementation</t>
  </si>
  <si>
    <t>Implementation supplied cost at cost 600 hours x $65/hour (Total spread over contracted months)</t>
  </si>
  <si>
    <t>Skip Tracing</t>
  </si>
  <si>
    <t xml:space="preserve">Per hit - Estimate 10% of mthly transactions		</t>
  </si>
  <si>
    <t>Texting - Initial Set-up</t>
  </si>
  <si>
    <t>Fonative initial set up costs = $7 - $11 (estimate spread over contracted months)</t>
  </si>
  <si>
    <t>Optional Call Center</t>
  </si>
  <si>
    <t>Texting - Ongoing Maintenance</t>
  </si>
  <si>
    <t xml:space="preserve">Fonative ongoing monthly maintenance costs $1.75 - $2.50		</t>
  </si>
  <si>
    <t>Optional Terminals</t>
  </si>
  <si>
    <t>$533 each (spread over contract months)</t>
  </si>
  <si>
    <t>Ecliptics</t>
  </si>
  <si>
    <t># of Terminals</t>
  </si>
  <si>
    <t>Total Fixed Costs</t>
  </si>
  <si>
    <t>Total Variable Costs</t>
  </si>
  <si>
    <t>Monthly Cost Per Transaction</t>
  </si>
  <si>
    <t>Target Price Per Transaction</t>
  </si>
  <si>
    <t>RevQ Licenses Monthly Cost</t>
  </si>
  <si>
    <t>Full Monthly Subscription Cost</t>
  </si>
  <si>
    <t>Total Monthly Payments Revenue</t>
  </si>
  <si>
    <t>Final Monthy Subscription</t>
  </si>
  <si>
    <t xml:space="preserve">Total Annual Revenue </t>
  </si>
  <si>
    <t>Annual Total Costs</t>
  </si>
  <si>
    <t>Additional Fees</t>
  </si>
  <si>
    <t>Enter any additional fees needed</t>
  </si>
  <si>
    <t>Discount Adjustment 1</t>
  </si>
  <si>
    <t>Discount Adjustment 2</t>
  </si>
  <si>
    <t>If this is a transaction only pricing model, click the check box.</t>
  </si>
  <si>
    <t>Fonative per minute for calls from text number = $.01/minute estimate 3 minutes/call and 5% of contract limit or mthly transactions</t>
  </si>
  <si>
    <t>Fonative per text - Based on contract limit or mthly transactions</t>
  </si>
  <si>
    <t>Based on limits in contract - Based on 10% of contract limit or mthly transactions</t>
  </si>
  <si>
    <t>Based on contract limit or mthly transactions</t>
  </si>
  <si>
    <t>Elicptics Cost</t>
  </si>
  <si>
    <t>Monthly Total Costs (not including Ecliptics)</t>
  </si>
  <si>
    <t>Total Mothly Costs (with Eclipticts)</t>
  </si>
  <si>
    <t>Costs for Ecliptics should include both Client View and Report Archiver</t>
  </si>
  <si>
    <r>
      <t>Finvi's Monthly Cost for Ecliptics</t>
    </r>
    <r>
      <rPr>
        <sz val="11"/>
        <color theme="1"/>
        <rFont val="Arial"/>
        <family val="2"/>
      </rPr>
      <t xml:space="preserve"> (Enter 0 if they don't use Ecliptics)</t>
    </r>
  </si>
  <si>
    <r>
      <t xml:space="preserve">Client Cost for Ecliptics
</t>
    </r>
    <r>
      <rPr>
        <sz val="11"/>
        <color theme="1"/>
        <rFont val="Arial"/>
        <family val="2"/>
      </rPr>
      <t>(Enter 0 if they don't use Ecliptics)</t>
    </r>
  </si>
  <si>
    <r>
      <t>Will Analytics Be Included?</t>
    </r>
    <r>
      <rPr>
        <sz val="11"/>
        <color theme="1"/>
        <rFont val="Arial"/>
        <family val="2"/>
      </rPr>
      <t xml:space="preserve"> (Select "$0" for no and "$320" for yes)</t>
    </r>
  </si>
  <si>
    <t xml:space="preserve">$.81/call - Estimate 3 minutes per call on call center estimate only 		</t>
  </si>
  <si>
    <t xml:space="preserve">Chargeback Guarantee </t>
  </si>
  <si>
    <t>Minus Chargeback Guarantee</t>
  </si>
  <si>
    <t>Adjusted Payments Net Revenue</t>
  </si>
  <si>
    <t>Monthly Payments Net Revenue</t>
  </si>
  <si>
    <t>Adjusted Annual Payments Revenue</t>
  </si>
  <si>
    <t>Guarantee amount covers all fees (convenience, chargeback, processing). It is provided on a annual basis and does not role over.</t>
  </si>
  <si>
    <t>v4 -- Updated 7/12/23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</si>
</sst>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* #,##0_);_(* \(#,##0\);_(* &quot;-&quot;??_);_(@_)"/>
    <numFmt numFmtId="166" formatCode="0.0%"/>
    <numFmt numFmtId="167" formatCode="&quot;$&quot;#,##0.00"/>
    <numFmt numFmtId="168" formatCode="&quot;$&quot;#,##0.000"/>
    <numFmt numFmtId="169" formatCode="&quot;$&quot;#,##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theme="0" tint="-0.499984740745262"/>
      <name val="Arial"/>
      <family val="2"/>
    </font>
    <font>
      <b/>
      <sz val="11"/>
      <name val="Arial"/>
      <family val="2"/>
    </font>
    <font>
      <b/>
      <sz val="11"/>
      <color theme="4" tint="-0.249977111117893"/>
      <name val="Arial"/>
      <family val="2"/>
    </font>
    <font>
      <b/>
      <sz val="11"/>
      <color rgb="FF00B050"/>
      <name val="Arial"/>
      <family val="2"/>
    </font>
    <font>
      <b/>
      <sz val="12"/>
      <name val="Arial"/>
      <family val="2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808080"/>
      <name val="Arial"/>
      <family val="2"/>
    </font>
    <font>
      <sz val="11"/>
      <color theme="0"/>
      <name val="Arial"/>
      <family val="2"/>
    </font>
    <font>
      <sz val="11"/>
      <color rgb="FF444444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1"/>
      <color theme="0" tint="-0.49998474074526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b/>
      <sz val="12"/>
      <color rgb="FF7030A0"/>
      <name val="Arial"/>
      <family val="2"/>
    </font>
    <font>
      <sz val="8"/>
      <color rgb="FF000000"/>
      <name val="Segoe UI"/>
      <family val="2"/>
    </font>
    <font>
      <b/>
      <sz val="11"/>
      <color rgb="FFFF0000"/>
      <name val="Arial"/>
      <family val="2"/>
    </font>
    <font>
      <sz val="10.5"/>
      <color theme="1"/>
      <name val="Arial"/>
      <family val="2"/>
    </font>
    <font>
      <b/>
      <sz val="10.5"/>
      <color theme="4" tint="-0.249977111117893"/>
      <name val="Arial"/>
      <family val="2"/>
    </font>
    <font>
      <sz val="10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4" tint="-0.2499465926084170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B05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medium">
        <color indexed="64"/>
      </right>
      <top style="thick">
        <color rgb="FF00B050"/>
      </top>
      <bottom style="medium">
        <color indexed="64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77111117893"/>
      </left>
      <right/>
      <top/>
      <bottom/>
      <diagonal/>
    </border>
    <border>
      <left style="thick">
        <color theme="4" tint="-0.24994659260841701"/>
      </left>
      <right/>
      <top style="thick">
        <color theme="4" tint="-0.249977111117893"/>
      </top>
      <bottom/>
      <diagonal/>
    </border>
    <border>
      <left/>
      <right/>
      <top style="thick">
        <color theme="4" tint="-0.249977111117893"/>
      </top>
      <bottom/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ck">
        <color theme="4" tint="-0.249977111117893"/>
      </top>
      <bottom style="thin">
        <color indexed="64"/>
      </bottom>
      <diagonal/>
    </border>
    <border>
      <left style="thick">
        <color theme="4" tint="-0.24994659260841701"/>
      </left>
      <right/>
      <top/>
      <bottom style="thick">
        <color theme="4" tint="-0.249977111117893"/>
      </bottom>
      <diagonal/>
    </border>
    <border>
      <left/>
      <right/>
      <top/>
      <bottom style="thick">
        <color theme="4" tint="-0.249977111117893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4" tint="-0.249977111117893"/>
      </bottom>
      <diagonal/>
    </border>
    <border>
      <left/>
      <right/>
      <top style="thick">
        <color theme="4" tint="-0.2499465926084170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 style="medium">
        <color auto="1"/>
      </left>
      <right style="thick">
        <color theme="4" tint="-0.24994659260841701"/>
      </right>
      <top/>
      <bottom/>
      <diagonal/>
    </border>
    <border>
      <left style="thick">
        <color rgb="FF00B050"/>
      </left>
      <right style="medium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medium">
        <color indexed="64"/>
      </right>
      <top style="thick">
        <color rgb="FF00B050"/>
      </top>
      <bottom/>
      <diagonal/>
    </border>
    <border>
      <left style="thick">
        <color rgb="FF00B050"/>
      </left>
      <right style="medium">
        <color rgb="FF00B050"/>
      </right>
      <top style="thick">
        <color rgb="FF00B050"/>
      </top>
      <bottom/>
      <diagonal/>
    </border>
    <border>
      <left style="thick">
        <color rgb="FF00B050"/>
      </left>
      <right style="medium">
        <color rgb="FF00B050"/>
      </right>
      <top style="thick">
        <color rgb="FF00B050"/>
      </top>
      <bottom style="thick">
        <color theme="4" tint="-0.2499465926084170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2" fillId="0" borderId="0" xfId="1" applyFont="1" applyFill="1" applyAlignment="1">
      <alignment vertical="center"/>
    </xf>
    <xf numFmtId="44" fontId="2" fillId="0" borderId="0" xfId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6" fillId="0" borderId="0" xfId="0" applyFont="1"/>
    <xf numFmtId="0" fontId="5" fillId="0" borderId="0" xfId="0" applyFont="1"/>
    <xf numFmtId="44" fontId="9" fillId="0" borderId="0" xfId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44" fontId="8" fillId="0" borderId="0" xfId="1" applyFont="1" applyFill="1" applyAlignment="1">
      <alignment vertical="center"/>
    </xf>
    <xf numFmtId="44" fontId="8" fillId="0" borderId="0" xfId="1" applyFont="1" applyFill="1" applyBorder="1"/>
    <xf numFmtId="0" fontId="12" fillId="0" borderId="0" xfId="0" applyFont="1" applyAlignment="1">
      <alignment horizontal="left"/>
    </xf>
    <xf numFmtId="3" fontId="2" fillId="0" borderId="0" xfId="0" applyNumberFormat="1" applyFont="1"/>
    <xf numFmtId="0" fontId="11" fillId="0" borderId="0" xfId="0" applyFont="1"/>
    <xf numFmtId="44" fontId="1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/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9" fontId="4" fillId="0" borderId="1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166" fontId="12" fillId="0" borderId="14" xfId="0" applyNumberFormat="1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2" fillId="0" borderId="7" xfId="0" applyFont="1" applyBorder="1"/>
    <xf numFmtId="0" fontId="11" fillId="0" borderId="17" xfId="0" applyFont="1" applyBorder="1"/>
    <xf numFmtId="3" fontId="9" fillId="0" borderId="0" xfId="0" applyNumberFormat="1" applyFont="1" applyAlignment="1">
      <alignment horizontal="center" vertical="center" wrapText="1"/>
    </xf>
    <xf numFmtId="166" fontId="12" fillId="3" borderId="14" xfId="0" applyNumberFormat="1" applyFont="1" applyFill="1" applyBorder="1" applyAlignment="1">
      <alignment horizontal="center" wrapText="1"/>
    </xf>
    <xf numFmtId="9" fontId="12" fillId="3" borderId="9" xfId="0" applyNumberFormat="1" applyFont="1" applyFill="1" applyBorder="1" applyAlignment="1">
      <alignment horizontal="center" wrapText="1"/>
    </xf>
    <xf numFmtId="44" fontId="11" fillId="0" borderId="0" xfId="1" applyFont="1" applyFill="1" applyAlignment="1" applyProtection="1">
      <alignment vertical="center"/>
    </xf>
    <xf numFmtId="0" fontId="14" fillId="0" borderId="0" xfId="0" applyFont="1"/>
    <xf numFmtId="3" fontId="14" fillId="0" borderId="0" xfId="1" applyNumberFormat="1" applyFont="1"/>
    <xf numFmtId="0" fontId="15" fillId="0" borderId="0" xfId="0" applyFont="1" applyAlignment="1">
      <alignment vertical="center"/>
    </xf>
    <xf numFmtId="8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6" fillId="0" borderId="0" xfId="1" applyNumberFormat="1" applyFont="1" applyFill="1" applyAlignment="1">
      <alignment vertical="center"/>
    </xf>
    <xf numFmtId="3" fontId="14" fillId="0" borderId="0" xfId="0" applyNumberFormat="1" applyFont="1"/>
    <xf numFmtId="8" fontId="14" fillId="0" borderId="0" xfId="0" applyNumberFormat="1" applyFont="1"/>
    <xf numFmtId="0" fontId="4" fillId="0" borderId="0" xfId="0" applyFont="1" applyAlignment="1">
      <alignment horizontal="center"/>
    </xf>
    <xf numFmtId="37" fontId="14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0" borderId="2" xfId="0" applyFont="1" applyBorder="1"/>
    <xf numFmtId="164" fontId="2" fillId="0" borderId="19" xfId="1" applyNumberFormat="1" applyFont="1" applyFill="1" applyBorder="1" applyAlignment="1">
      <alignment vertical="center"/>
    </xf>
    <xf numFmtId="9" fontId="14" fillId="0" borderId="0" xfId="3" applyFont="1"/>
    <xf numFmtId="0" fontId="16" fillId="0" borderId="0" xfId="0" applyFont="1" applyAlignment="1">
      <alignment vertical="center"/>
    </xf>
    <xf numFmtId="9" fontId="11" fillId="0" borderId="20" xfId="0" applyNumberFormat="1" applyFont="1" applyBorder="1" applyAlignment="1">
      <alignment horizontal="center" vertical="center"/>
    </xf>
    <xf numFmtId="9" fontId="11" fillId="0" borderId="20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4" fillId="0" borderId="21" xfId="0" applyFont="1" applyBorder="1"/>
    <xf numFmtId="0" fontId="19" fillId="0" borderId="21" xfId="0" applyFont="1" applyBorder="1" applyAlignment="1">
      <alignment wrapText="1"/>
    </xf>
    <xf numFmtId="8" fontId="15" fillId="0" borderId="21" xfId="0" applyNumberFormat="1" applyFont="1" applyBorder="1" applyAlignment="1">
      <alignment vertical="center"/>
    </xf>
    <xf numFmtId="8" fontId="15" fillId="0" borderId="21" xfId="0" applyNumberFormat="1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9" fillId="0" borderId="21" xfId="0" applyFont="1" applyBorder="1" applyAlignment="1">
      <alignment vertical="center" wrapText="1"/>
    </xf>
    <xf numFmtId="0" fontId="4" fillId="5" borderId="0" xfId="0" applyFont="1" applyFill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4" fontId="14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/>
    </xf>
    <xf numFmtId="44" fontId="14" fillId="0" borderId="0" xfId="0" applyNumberFormat="1" applyFont="1"/>
    <xf numFmtId="8" fontId="20" fillId="0" borderId="0" xfId="0" applyNumberFormat="1" applyFont="1"/>
    <xf numFmtId="0" fontId="16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8" fontId="20" fillId="0" borderId="21" xfId="0" applyNumberFormat="1" applyFont="1" applyBorder="1"/>
    <xf numFmtId="0" fontId="20" fillId="0" borderId="0" xfId="0" applyFont="1"/>
    <xf numFmtId="167" fontId="14" fillId="0" borderId="0" xfId="1" applyNumberFormat="1" applyFont="1"/>
    <xf numFmtId="44" fontId="21" fillId="0" borderId="0" xfId="0" applyNumberFormat="1" applyFont="1"/>
    <xf numFmtId="8" fontId="11" fillId="0" borderId="28" xfId="1" applyNumberFormat="1" applyFont="1" applyFill="1" applyBorder="1"/>
    <xf numFmtId="0" fontId="2" fillId="0" borderId="2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/>
    <xf numFmtId="0" fontId="10" fillId="0" borderId="19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67" fontId="2" fillId="0" borderId="8" xfId="1" applyNumberFormat="1" applyFont="1" applyFill="1" applyBorder="1" applyAlignment="1">
      <alignment horizontal="right" wrapText="1"/>
    </xf>
    <xf numFmtId="167" fontId="4" fillId="0" borderId="10" xfId="1" applyNumberFormat="1" applyFont="1" applyFill="1" applyBorder="1" applyAlignment="1">
      <alignment horizontal="right" vertical="center"/>
    </xf>
    <xf numFmtId="167" fontId="2" fillId="0" borderId="8" xfId="1" applyNumberFormat="1" applyFont="1" applyFill="1" applyBorder="1"/>
    <xf numFmtId="167" fontId="2" fillId="0" borderId="8" xfId="1" applyNumberFormat="1" applyFont="1" applyBorder="1" applyAlignment="1">
      <alignment vertical="center"/>
    </xf>
    <xf numFmtId="167" fontId="4" fillId="0" borderId="18" xfId="0" applyNumberFormat="1" applyFont="1" applyBorder="1" applyAlignment="1">
      <alignment vertical="center"/>
    </xf>
    <xf numFmtId="167" fontId="8" fillId="0" borderId="19" xfId="1" applyNumberFormat="1" applyFont="1" applyFill="1" applyBorder="1" applyAlignment="1">
      <alignment vertical="center"/>
    </xf>
    <xf numFmtId="167" fontId="2" fillId="0" borderId="7" xfId="1" applyNumberFormat="1" applyFont="1" applyFill="1" applyBorder="1"/>
    <xf numFmtId="167" fontId="2" fillId="0" borderId="2" xfId="1" applyNumberFormat="1" applyFont="1" applyFill="1" applyBorder="1"/>
    <xf numFmtId="167" fontId="11" fillId="0" borderId="41" xfId="1" applyNumberFormat="1" applyFont="1" applyBorder="1" applyAlignment="1">
      <alignment vertical="center"/>
    </xf>
    <xf numFmtId="167" fontId="11" fillId="0" borderId="42" xfId="0" applyNumberFormat="1" applyFont="1" applyBorder="1" applyAlignment="1">
      <alignment vertical="center"/>
    </xf>
    <xf numFmtId="167" fontId="11" fillId="0" borderId="16" xfId="0" applyNumberFormat="1" applyFont="1" applyBorder="1" applyAlignment="1">
      <alignment vertical="center"/>
    </xf>
    <xf numFmtId="167" fontId="11" fillId="0" borderId="25" xfId="0" applyNumberFormat="1" applyFont="1" applyBorder="1" applyAlignment="1">
      <alignment vertical="center"/>
    </xf>
    <xf numFmtId="0" fontId="4" fillId="0" borderId="19" xfId="0" applyFont="1" applyBorder="1"/>
    <xf numFmtId="44" fontId="10" fillId="0" borderId="0" xfId="1" applyFont="1" applyFill="1" applyBorder="1" applyAlignment="1">
      <alignment horizontal="center" vertical="center"/>
    </xf>
    <xf numFmtId="167" fontId="11" fillId="0" borderId="33" xfId="1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44" fontId="11" fillId="0" borderId="0" xfId="1" applyFont="1" applyFill="1" applyAlignment="1" applyProtection="1">
      <alignment horizontal="right" vertical="center"/>
    </xf>
    <xf numFmtId="0" fontId="4" fillId="0" borderId="0" xfId="0" applyFont="1" applyAlignment="1">
      <alignment horizontal="right"/>
    </xf>
    <xf numFmtId="44" fontId="23" fillId="0" borderId="0" xfId="1" applyFont="1" applyFill="1" applyAlignment="1">
      <alignment horizontal="right" vertical="center"/>
    </xf>
    <xf numFmtId="167" fontId="11" fillId="0" borderId="46" xfId="0" applyNumberFormat="1" applyFont="1" applyBorder="1" applyAlignment="1">
      <alignment vertical="center"/>
    </xf>
    <xf numFmtId="0" fontId="4" fillId="0" borderId="35" xfId="0" applyFont="1" applyBorder="1" applyAlignment="1">
      <alignment horizontal="right"/>
    </xf>
    <xf numFmtId="0" fontId="4" fillId="0" borderId="39" xfId="0" applyFont="1" applyBorder="1" applyAlignment="1">
      <alignment horizontal="right"/>
    </xf>
    <xf numFmtId="167" fontId="12" fillId="0" borderId="36" xfId="0" applyNumberFormat="1" applyFont="1" applyBorder="1" applyAlignment="1">
      <alignment horizontal="center"/>
    </xf>
    <xf numFmtId="167" fontId="12" fillId="0" borderId="40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29" xfId="0" applyFont="1" applyBorder="1" applyAlignment="1">
      <alignment horizontal="right" vertical="center" wrapText="1"/>
    </xf>
    <xf numFmtId="6" fontId="2" fillId="0" borderId="0" xfId="0" applyNumberFormat="1" applyFont="1"/>
    <xf numFmtId="6" fontId="14" fillId="0" borderId="0" xfId="0" applyNumberFormat="1" applyFont="1"/>
    <xf numFmtId="0" fontId="4" fillId="0" borderId="0" xfId="0" applyFont="1"/>
    <xf numFmtId="167" fontId="11" fillId="0" borderId="0" xfId="1" applyNumberFormat="1" applyFont="1" applyFill="1" applyBorder="1" applyAlignment="1">
      <alignment vertical="center"/>
    </xf>
    <xf numFmtId="167" fontId="11" fillId="0" borderId="50" xfId="0" applyNumberFormat="1" applyFont="1" applyBorder="1"/>
    <xf numFmtId="167" fontId="14" fillId="0" borderId="0" xfId="1" applyNumberFormat="1" applyFont="1" applyFill="1" applyAlignment="1">
      <alignment vertical="center"/>
    </xf>
    <xf numFmtId="167" fontId="16" fillId="0" borderId="0" xfId="1" applyNumberFormat="1" applyFont="1" applyFill="1" applyAlignment="1">
      <alignment vertical="center"/>
    </xf>
    <xf numFmtId="167" fontId="14" fillId="0" borderId="0" xfId="0" applyNumberFormat="1" applyFont="1" applyAlignment="1">
      <alignment vertical="center"/>
    </xf>
    <xf numFmtId="167" fontId="20" fillId="0" borderId="0" xfId="0" applyNumberFormat="1" applyFont="1" applyAlignment="1">
      <alignment vertical="center"/>
    </xf>
    <xf numFmtId="0" fontId="4" fillId="0" borderId="47" xfId="0" applyFont="1" applyBorder="1" applyAlignment="1">
      <alignment horizontal="right" vertical="center" wrapText="1"/>
    </xf>
    <xf numFmtId="37" fontId="12" fillId="0" borderId="36" xfId="1" applyNumberFormat="1" applyFont="1" applyBorder="1" applyAlignment="1">
      <alignment horizontal="center" vertical="center"/>
    </xf>
    <xf numFmtId="37" fontId="12" fillId="0" borderId="6" xfId="1" applyNumberFormat="1" applyFont="1" applyBorder="1" applyAlignment="1">
      <alignment horizontal="center" vertical="center"/>
    </xf>
    <xf numFmtId="167" fontId="12" fillId="0" borderId="6" xfId="1" applyNumberFormat="1" applyFont="1" applyBorder="1" applyAlignment="1">
      <alignment horizontal="center" vertical="center"/>
    </xf>
    <xf numFmtId="37" fontId="12" fillId="0" borderId="35" xfId="1" applyNumberFormat="1" applyFont="1" applyBorder="1" applyAlignment="1">
      <alignment horizontal="center" vertical="center"/>
    </xf>
    <xf numFmtId="37" fontId="12" fillId="0" borderId="39" xfId="1" applyNumberFormat="1" applyFont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7" fillId="0" borderId="19" xfId="0" applyFont="1" applyBorder="1" applyAlignment="1">
      <alignment vertical="center"/>
    </xf>
    <xf numFmtId="0" fontId="26" fillId="0" borderId="19" xfId="0" applyFont="1" applyBorder="1"/>
    <xf numFmtId="0" fontId="14" fillId="0" borderId="0" xfId="0" applyFont="1" applyAlignment="1">
      <alignment horizontal="left"/>
    </xf>
    <xf numFmtId="167" fontId="14" fillId="0" borderId="0" xfId="0" applyNumberFormat="1" applyFont="1"/>
    <xf numFmtId="165" fontId="12" fillId="0" borderId="51" xfId="2" applyNumberFormat="1" applyFont="1" applyFill="1" applyBorder="1"/>
    <xf numFmtId="5" fontId="12" fillId="0" borderId="3" xfId="1" applyNumberFormat="1" applyFont="1" applyFill="1" applyBorder="1"/>
    <xf numFmtId="5" fontId="11" fillId="0" borderId="33" xfId="2" applyNumberFormat="1" applyFont="1" applyFill="1" applyBorder="1"/>
    <xf numFmtId="168" fontId="14" fillId="0" borderId="0" xfId="1" applyNumberFormat="1" applyFont="1" applyFill="1" applyAlignment="1">
      <alignment vertical="center"/>
    </xf>
    <xf numFmtId="169" fontId="12" fillId="0" borderId="40" xfId="1" applyNumberFormat="1" applyFont="1" applyBorder="1" applyAlignment="1">
      <alignment horizontal="center" vertical="center"/>
    </xf>
    <xf numFmtId="169" fontId="12" fillId="0" borderId="0" xfId="1" applyNumberFormat="1" applyFont="1" applyBorder="1" applyAlignment="1">
      <alignment horizontal="center" vertical="center"/>
    </xf>
    <xf numFmtId="168" fontId="14" fillId="0" borderId="0" xfId="0" applyNumberFormat="1" applyFont="1"/>
    <xf numFmtId="0" fontId="2" fillId="0" borderId="29" xfId="0" applyFont="1" applyBorder="1"/>
    <xf numFmtId="0" fontId="30" fillId="0" borderId="0" xfId="0" applyFont="1" applyAlignment="1">
      <alignment horizontal="right"/>
    </xf>
    <xf numFmtId="167" fontId="12" fillId="0" borderId="0" xfId="0" applyNumberFormat="1" applyFont="1"/>
    <xf numFmtId="0" fontId="4" fillId="0" borderId="0" xfId="0" applyFont="1" applyAlignment="1">
      <alignment horizontal="right" vertical="center"/>
    </xf>
    <xf numFmtId="167" fontId="30" fillId="0" borderId="52" xfId="0" applyNumberFormat="1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167" fontId="11" fillId="0" borderId="52" xfId="0" applyNumberFormat="1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44" fontId="2" fillId="0" borderId="8" xfId="1" applyFont="1" applyFill="1" applyBorder="1" applyAlignment="1">
      <alignment vertical="center"/>
    </xf>
    <xf numFmtId="9" fontId="12" fillId="3" borderId="14" xfId="0" applyNumberFormat="1" applyFont="1" applyFill="1" applyBorder="1" applyAlignment="1">
      <alignment horizontal="center" wrapText="1"/>
    </xf>
    <xf numFmtId="167" fontId="26" fillId="0" borderId="54" xfId="0" applyNumberFormat="1" applyFont="1" applyBorder="1"/>
    <xf numFmtId="167" fontId="8" fillId="0" borderId="55" xfId="1" applyNumberFormat="1" applyFont="1" applyFill="1" applyBorder="1" applyAlignment="1">
      <alignment vertical="center"/>
    </xf>
    <xf numFmtId="167" fontId="27" fillId="0" borderId="56" xfId="1" applyNumberFormat="1" applyFont="1" applyFill="1" applyBorder="1" applyAlignment="1">
      <alignment vertical="center"/>
    </xf>
    <xf numFmtId="167" fontId="27" fillId="0" borderId="57" xfId="1" applyNumberFormat="1" applyFont="1" applyFill="1" applyBorder="1" applyAlignment="1">
      <alignment vertical="center"/>
    </xf>
    <xf numFmtId="0" fontId="31" fillId="0" borderId="0" xfId="0" applyFont="1"/>
    <xf numFmtId="0" fontId="31" fillId="0" borderId="0" xfId="0" applyFont="1" applyAlignment="1">
      <alignment vertical="center" wrapText="1"/>
    </xf>
    <xf numFmtId="44" fontId="32" fillId="0" borderId="19" xfId="1" applyFont="1" applyBorder="1" applyAlignment="1" applyProtection="1">
      <alignment vertical="center"/>
    </xf>
    <xf numFmtId="44" fontId="33" fillId="0" borderId="0" xfId="1" applyFont="1" applyFill="1" applyBorder="1" applyAlignment="1" applyProtection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167" fontId="12" fillId="0" borderId="36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right"/>
    </xf>
    <xf numFmtId="0" fontId="25" fillId="2" borderId="0" xfId="0" applyFont="1" applyFill="1" applyAlignment="1">
      <alignment horizontal="right"/>
    </xf>
    <xf numFmtId="0" fontId="4" fillId="0" borderId="34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37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6" xfId="0" applyFont="1" applyBorder="1" applyAlignment="1">
      <alignment horizontal="left"/>
    </xf>
    <xf numFmtId="0" fontId="31" fillId="0" borderId="3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44" fontId="33" fillId="0" borderId="0" xfId="1" applyFont="1" applyFill="1" applyBorder="1" applyAlignment="1" applyProtection="1">
      <alignment horizontal="center" vertical="center" wrapText="1"/>
    </xf>
    <xf numFmtId="0" fontId="18" fillId="4" borderId="2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right" vertical="center" wrapText="1"/>
    </xf>
    <xf numFmtId="0" fontId="4" fillId="0" borderId="44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7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4" fillId="0" borderId="44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B8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fmlaLink="Formulas!A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</xdr:row>
          <xdr:rowOff>0</xdr:rowOff>
        </xdr:from>
        <xdr:to>
          <xdr:col>4</xdr:col>
          <xdr:colOff>1800225</xdr:colOff>
          <xdr:row>10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TRANSACTION ONLY MODEL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00088-E013-4BA7-B5ED-4A424D75C00F}">
  <sheetPr codeName="Sheet1"/>
  <dimension ref="A1:I69"/>
  <sheetViews>
    <sheetView tabSelected="1" zoomScaleNormal="100" workbookViewId="0">
      <selection activeCell="D23" sqref="D23"/>
    </sheetView>
  </sheetViews>
  <sheetFormatPr defaultColWidth="8.7109375" defaultRowHeight="14.25" x14ac:dyDescent="0.2"/>
  <cols>
    <col min="1" max="1" width="21" style="1" customWidth="1"/>
    <col min="2" max="2" width="36.28515625" style="1" customWidth="1"/>
    <col min="3" max="3" width="36.85546875" style="1" customWidth="1"/>
    <col min="4" max="4" width="28" style="1" customWidth="1"/>
    <col min="5" max="5" width="32.28515625" style="1" customWidth="1"/>
    <col min="6" max="6" width="31.42578125" style="1" customWidth="1"/>
    <col min="7" max="7" width="38.28515625" style="1" customWidth="1"/>
    <col min="8" max="8" width="28.7109375" style="1" customWidth="1"/>
    <col min="9" max="9" width="44.7109375" style="1" customWidth="1"/>
    <col min="10" max="16384" width="8.7109375" style="1"/>
  </cols>
  <sheetData>
    <row r="1" spans="1:8" ht="15" thickBot="1" x14ac:dyDescent="0.25"/>
    <row r="2" spans="1:8" ht="15.75" thickBot="1" x14ac:dyDescent="0.3">
      <c r="B2" s="169" t="s">
        <v>0</v>
      </c>
      <c r="C2" s="169"/>
      <c r="D2" s="169"/>
      <c r="E2" s="169"/>
      <c r="F2" s="32" t="s">
        <v>1</v>
      </c>
      <c r="H2" s="68" t="s">
        <v>118</v>
      </c>
    </row>
    <row r="3" spans="1:8" ht="17.25" thickTop="1" thickBot="1" x14ac:dyDescent="0.3">
      <c r="B3" s="21" t="s">
        <v>2</v>
      </c>
      <c r="C3" s="180"/>
      <c r="D3" s="181"/>
      <c r="F3" s="33" t="s">
        <v>3</v>
      </c>
    </row>
    <row r="4" spans="1:8" s="9" customFormat="1" ht="19.5" thickTop="1" thickBot="1" x14ac:dyDescent="0.3">
      <c r="B4" s="182" t="s">
        <v>4</v>
      </c>
      <c r="C4" s="183"/>
      <c r="D4" s="135">
        <v>4000</v>
      </c>
      <c r="F4" s="1"/>
    </row>
    <row r="5" spans="1:8" s="9" customFormat="1" ht="19.5" thickTop="1" thickBot="1" x14ac:dyDescent="0.3">
      <c r="B5" s="182" t="s">
        <v>5</v>
      </c>
      <c r="C5" s="182"/>
      <c r="D5" s="137">
        <f>SUM(D4*D6*12)</f>
        <v>12000000</v>
      </c>
      <c r="F5" s="1"/>
    </row>
    <row r="6" spans="1:8" s="9" customFormat="1" ht="20.25" thickTop="1" thickBot="1" x14ac:dyDescent="0.35">
      <c r="B6" s="182" t="s">
        <v>6</v>
      </c>
      <c r="C6" s="182"/>
      <c r="D6" s="136">
        <v>250</v>
      </c>
      <c r="F6" s="1"/>
      <c r="H6" s="10"/>
    </row>
    <row r="7" spans="1:8" ht="15.75" thickTop="1" x14ac:dyDescent="0.25">
      <c r="B7" s="15"/>
      <c r="C7" s="15"/>
      <c r="D7" s="15"/>
      <c r="H7" s="2"/>
    </row>
    <row r="8" spans="1:8" ht="21.75" customHeight="1" x14ac:dyDescent="0.25">
      <c r="B8" s="169" t="s">
        <v>7</v>
      </c>
      <c r="C8" s="169"/>
      <c r="D8" s="169"/>
      <c r="E8" s="169"/>
      <c r="F8" s="169"/>
      <c r="H8" s="2"/>
    </row>
    <row r="9" spans="1:8" ht="22.5" customHeight="1" x14ac:dyDescent="0.25">
      <c r="B9" s="113"/>
      <c r="C9" s="170" t="s">
        <v>8</v>
      </c>
      <c r="D9" s="171"/>
      <c r="E9" s="171"/>
      <c r="F9" s="113"/>
      <c r="H9" s="2"/>
    </row>
    <row r="10" spans="1:8" ht="15.75" customHeight="1" x14ac:dyDescent="0.25">
      <c r="B10" s="172" t="s">
        <v>99</v>
      </c>
      <c r="C10" s="173"/>
      <c r="D10" s="173"/>
      <c r="E10" s="130"/>
      <c r="F10" s="113"/>
      <c r="H10" s="2"/>
    </row>
    <row r="11" spans="1:8" ht="15" thickBot="1" x14ac:dyDescent="0.25">
      <c r="C11" s="16"/>
      <c r="E11" s="2"/>
      <c r="H11" s="2"/>
    </row>
    <row r="12" spans="1:8" s="19" customFormat="1" ht="44.25" thickBot="1" x14ac:dyDescent="0.3">
      <c r="A12" s="34" t="s">
        <v>9</v>
      </c>
      <c r="B12" s="28" t="s">
        <v>10</v>
      </c>
      <c r="C12" s="48" t="s">
        <v>11</v>
      </c>
      <c r="D12" s="22" t="s">
        <v>12</v>
      </c>
      <c r="E12" s="23" t="s">
        <v>13</v>
      </c>
      <c r="F12" s="31" t="s">
        <v>14</v>
      </c>
      <c r="H12" s="20"/>
    </row>
    <row r="13" spans="1:8" ht="16.5" thickTop="1" thickBot="1" x14ac:dyDescent="0.3">
      <c r="A13" s="59" t="s">
        <v>15</v>
      </c>
      <c r="B13" s="35">
        <v>0.05</v>
      </c>
      <c r="C13" s="151">
        <v>0.8</v>
      </c>
      <c r="D13" s="88">
        <f>C13*D$5</f>
        <v>9600000</v>
      </c>
      <c r="E13" s="90">
        <f>B13*D13</f>
        <v>480000</v>
      </c>
      <c r="F13" s="25">
        <f>SUM(C13*D4)</f>
        <v>3200</v>
      </c>
      <c r="H13" s="2"/>
    </row>
    <row r="14" spans="1:8" ht="16.5" thickTop="1" thickBot="1" x14ac:dyDescent="0.3">
      <c r="A14" s="59" t="s">
        <v>16</v>
      </c>
      <c r="B14" s="35">
        <v>3.5000000000000003E-2</v>
      </c>
      <c r="C14" s="36">
        <v>0.15</v>
      </c>
      <c r="D14" s="88">
        <f>C14*D$5</f>
        <v>1800000</v>
      </c>
      <c r="E14" s="90">
        <f>B14*D14</f>
        <v>63000.000000000007</v>
      </c>
      <c r="F14" s="25">
        <f>SUM(C14*D4)</f>
        <v>600</v>
      </c>
      <c r="H14" s="2"/>
    </row>
    <row r="15" spans="1:8" ht="16.5" thickTop="1" thickBot="1" x14ac:dyDescent="0.3">
      <c r="A15" s="59" t="s">
        <v>17</v>
      </c>
      <c r="B15" s="29">
        <v>7.0000000000000007E-2</v>
      </c>
      <c r="C15" s="24">
        <v>0.05</v>
      </c>
      <c r="D15" s="88">
        <f>C15*D$5</f>
        <v>600000</v>
      </c>
      <c r="E15" s="91">
        <f>B15*D15</f>
        <v>42000.000000000007</v>
      </c>
      <c r="F15" s="25">
        <f>SUM(C15*D4)</f>
        <v>200</v>
      </c>
      <c r="H15" s="2"/>
    </row>
    <row r="16" spans="1:8" ht="16.5" thickTop="1" thickBot="1" x14ac:dyDescent="0.3">
      <c r="A16" s="60"/>
      <c r="B16" s="30" t="s">
        <v>18</v>
      </c>
      <c r="C16" s="27">
        <f>SUM(C13:C15)</f>
        <v>1</v>
      </c>
      <c r="D16" s="89">
        <f>SUM(D13:D15)</f>
        <v>12000000</v>
      </c>
      <c r="E16" s="92">
        <f>SUM(E13:E15)</f>
        <v>585000</v>
      </c>
      <c r="F16" s="26">
        <f>SUM(F13:F15)</f>
        <v>4000</v>
      </c>
      <c r="H16" s="2"/>
    </row>
    <row r="17" spans="1:8" ht="15.75" thickBot="1" x14ac:dyDescent="0.3">
      <c r="A17" s="60"/>
      <c r="B17" s="15"/>
      <c r="C17" s="15"/>
      <c r="D17" s="15"/>
      <c r="H17" s="2"/>
    </row>
    <row r="18" spans="1:8" ht="15.75" thickBot="1" x14ac:dyDescent="0.3">
      <c r="A18" s="60"/>
      <c r="B18" s="166" t="s">
        <v>19</v>
      </c>
      <c r="C18" s="167"/>
      <c r="D18" s="167"/>
      <c r="E18" s="167"/>
      <c r="F18" s="168"/>
      <c r="H18" s="2"/>
    </row>
    <row r="19" spans="1:8" ht="18.75" customHeight="1" thickTop="1" x14ac:dyDescent="0.25">
      <c r="A19" s="61"/>
      <c r="B19" s="174" t="s">
        <v>20</v>
      </c>
      <c r="C19" s="175"/>
      <c r="D19" s="125">
        <v>5</v>
      </c>
      <c r="E19" s="46"/>
      <c r="F19" s="72"/>
      <c r="H19" s="115"/>
    </row>
    <row r="20" spans="1:8" ht="20.25" customHeight="1" x14ac:dyDescent="0.25">
      <c r="A20" s="61"/>
      <c r="B20" s="176" t="s">
        <v>21</v>
      </c>
      <c r="C20" s="177"/>
      <c r="D20" s="126">
        <v>60</v>
      </c>
      <c r="E20" s="46"/>
      <c r="F20" s="72"/>
      <c r="H20" s="115"/>
    </row>
    <row r="21" spans="1:8" ht="20.25" customHeight="1" x14ac:dyDescent="0.25">
      <c r="A21" s="61"/>
      <c r="B21" s="176" t="s">
        <v>22</v>
      </c>
      <c r="C21" s="177"/>
      <c r="D21" s="126">
        <f>IF(Formulas!A8,D4,0)</f>
        <v>4000</v>
      </c>
      <c r="E21" s="46"/>
      <c r="F21" s="72"/>
      <c r="H21" s="2"/>
    </row>
    <row r="22" spans="1:8" ht="19.5" customHeight="1" x14ac:dyDescent="0.25">
      <c r="A22" s="61"/>
      <c r="B22" s="176" t="s">
        <v>23</v>
      </c>
      <c r="C22" s="177"/>
      <c r="D22" s="126">
        <f>IF(Formulas!A8,D4,0)</f>
        <v>4000</v>
      </c>
      <c r="E22" s="46"/>
      <c r="F22" s="72"/>
      <c r="H22" s="2"/>
    </row>
    <row r="23" spans="1:8" ht="18.75" customHeight="1" thickBot="1" x14ac:dyDescent="0.3">
      <c r="A23" s="61"/>
      <c r="B23" s="176" t="s">
        <v>24</v>
      </c>
      <c r="C23" s="177"/>
      <c r="D23" s="126">
        <f>IF(Formulas!A8,D4,0)</f>
        <v>4000</v>
      </c>
      <c r="E23" s="46"/>
      <c r="F23" s="72"/>
      <c r="H23" s="2"/>
    </row>
    <row r="24" spans="1:8" ht="18.75" customHeight="1" thickTop="1" x14ac:dyDescent="0.2">
      <c r="A24" s="61"/>
      <c r="B24" s="176" t="s">
        <v>108</v>
      </c>
      <c r="C24" s="177"/>
      <c r="D24" s="127">
        <v>0</v>
      </c>
      <c r="E24" s="162" t="s">
        <v>109</v>
      </c>
      <c r="F24" s="164">
        <v>0</v>
      </c>
      <c r="G24" s="184" t="s">
        <v>107</v>
      </c>
      <c r="H24" s="2"/>
    </row>
    <row r="25" spans="1:8" ht="18.75" customHeight="1" thickBot="1" x14ac:dyDescent="0.25">
      <c r="A25" s="61"/>
      <c r="B25" s="176" t="s">
        <v>110</v>
      </c>
      <c r="C25" s="177"/>
      <c r="D25" s="139">
        <v>320</v>
      </c>
      <c r="E25" s="163"/>
      <c r="F25" s="165"/>
      <c r="G25" s="184"/>
      <c r="H25" s="2"/>
    </row>
    <row r="26" spans="1:8" ht="18.75" customHeight="1" thickTop="1" x14ac:dyDescent="0.25">
      <c r="A26" s="61"/>
      <c r="B26" s="176" t="s">
        <v>25</v>
      </c>
      <c r="C26" s="177"/>
      <c r="D26" s="128">
        <v>0</v>
      </c>
      <c r="E26" s="109" t="s">
        <v>26</v>
      </c>
      <c r="F26" s="111">
        <v>0</v>
      </c>
      <c r="G26" s="156"/>
      <c r="H26" s="2"/>
    </row>
    <row r="27" spans="1:8" ht="18.75" customHeight="1" thickBot="1" x14ac:dyDescent="0.3">
      <c r="A27" s="61"/>
      <c r="B27" s="195" t="s">
        <v>27</v>
      </c>
      <c r="C27" s="196"/>
      <c r="D27" s="129">
        <v>0</v>
      </c>
      <c r="E27" s="110" t="s">
        <v>28</v>
      </c>
      <c r="F27" s="112">
        <v>0</v>
      </c>
      <c r="G27" s="156"/>
      <c r="H27" s="2"/>
    </row>
    <row r="28" spans="1:8" ht="22.5" customHeight="1" thickTop="1" thickBot="1" x14ac:dyDescent="0.25">
      <c r="A28" s="61"/>
      <c r="B28" s="160" t="s">
        <v>112</v>
      </c>
      <c r="C28" s="161"/>
      <c r="D28" s="139">
        <v>50000</v>
      </c>
      <c r="E28" s="178" t="s">
        <v>117</v>
      </c>
      <c r="F28" s="178"/>
      <c r="G28" s="157"/>
      <c r="H28" s="2"/>
    </row>
    <row r="29" spans="1:8" ht="14.25" customHeight="1" thickTop="1" x14ac:dyDescent="0.2">
      <c r="A29" s="61"/>
      <c r="B29" s="145"/>
      <c r="C29" s="145"/>
      <c r="D29" s="140"/>
      <c r="E29" s="179"/>
      <c r="F29" s="179"/>
      <c r="G29" s="156"/>
      <c r="H29" s="2"/>
    </row>
    <row r="30" spans="1:8" ht="15.75" thickBot="1" x14ac:dyDescent="0.3">
      <c r="C30" s="46"/>
      <c r="D30" s="46"/>
      <c r="E30" s="46"/>
      <c r="F30" s="46"/>
      <c r="G30" s="156"/>
      <c r="H30" s="2"/>
    </row>
    <row r="31" spans="1:8" ht="15" thickBot="1" x14ac:dyDescent="0.25">
      <c r="A31" s="52"/>
      <c r="B31" s="189" t="s">
        <v>29</v>
      </c>
      <c r="C31" s="200"/>
      <c r="D31" s="53"/>
      <c r="E31" s="188" t="s">
        <v>30</v>
      </c>
      <c r="F31" s="189"/>
      <c r="G31" s="158"/>
      <c r="H31" s="2"/>
    </row>
    <row r="32" spans="1:8" x14ac:dyDescent="0.2">
      <c r="B32" s="50" t="s">
        <v>31</v>
      </c>
      <c r="C32" s="94">
        <f>(B13-1.9%)*D13</f>
        <v>297600.00000000006</v>
      </c>
      <c r="D32" s="150"/>
      <c r="E32" s="50" t="s">
        <v>32</v>
      </c>
      <c r="F32" s="93">
        <f>Formulas!C29</f>
        <v>0</v>
      </c>
      <c r="G32" s="158"/>
      <c r="H32" s="2"/>
    </row>
    <row r="33" spans="2:8" ht="15" thickBot="1" x14ac:dyDescent="0.25">
      <c r="B33" s="51" t="s">
        <v>33</v>
      </c>
      <c r="C33" s="95">
        <f>(B14-1.9%)*D14</f>
        <v>28800.000000000007</v>
      </c>
      <c r="D33" s="6"/>
      <c r="E33" s="103" t="s">
        <v>34</v>
      </c>
      <c r="F33" s="93">
        <f>Formulas!C30</f>
        <v>0</v>
      </c>
      <c r="G33" s="158"/>
      <c r="H33" s="2"/>
    </row>
    <row r="34" spans="2:8" ht="15.75" thickTop="1" thickBot="1" x14ac:dyDescent="0.25">
      <c r="B34" s="51" t="s">
        <v>35</v>
      </c>
      <c r="C34" s="95">
        <f>(B15-1.9%)*D15</f>
        <v>30600.000000000004</v>
      </c>
      <c r="D34" s="6"/>
      <c r="E34" s="132" t="s">
        <v>95</v>
      </c>
      <c r="F34" s="152">
        <v>0</v>
      </c>
      <c r="G34" s="159" t="s">
        <v>96</v>
      </c>
      <c r="H34" s="2"/>
    </row>
    <row r="35" spans="2:8" ht="16.5" thickTop="1" thickBot="1" x14ac:dyDescent="0.25">
      <c r="B35" s="86" t="s">
        <v>37</v>
      </c>
      <c r="C35" s="96">
        <f>SUM(C32:C34)</f>
        <v>357000.00000000006</v>
      </c>
      <c r="D35" s="6"/>
      <c r="E35" s="84" t="s">
        <v>36</v>
      </c>
      <c r="F35" s="153">
        <f>Formulas!C32</f>
        <v>0</v>
      </c>
      <c r="G35" s="156"/>
      <c r="H35" s="2"/>
    </row>
    <row r="36" spans="2:8" ht="16.5" thickTop="1" thickBot="1" x14ac:dyDescent="0.25">
      <c r="B36" s="147" t="s">
        <v>113</v>
      </c>
      <c r="C36" s="146">
        <f>D28</f>
        <v>50000</v>
      </c>
      <c r="D36" s="6"/>
      <c r="E36" s="131" t="s">
        <v>97</v>
      </c>
      <c r="F36" s="154">
        <v>0</v>
      </c>
      <c r="G36" s="187" t="s">
        <v>38</v>
      </c>
      <c r="H36" s="2"/>
    </row>
    <row r="37" spans="2:8" ht="16.5" thickTop="1" thickBot="1" x14ac:dyDescent="0.25">
      <c r="B37" s="149" t="s">
        <v>114</v>
      </c>
      <c r="C37" s="148">
        <f>C35-C36</f>
        <v>307000.00000000006</v>
      </c>
      <c r="D37" s="12"/>
      <c r="E37" s="131" t="s">
        <v>98</v>
      </c>
      <c r="F37" s="155">
        <v>0</v>
      </c>
      <c r="G37" s="187"/>
    </row>
    <row r="38" spans="2:8" ht="16.5" thickTop="1" thickBot="1" x14ac:dyDescent="0.3">
      <c r="B38" s="87" t="s">
        <v>115</v>
      </c>
      <c r="C38" s="97">
        <f>SUM(C37/12)</f>
        <v>25583.333333333339</v>
      </c>
      <c r="D38" s="52"/>
      <c r="E38" s="100" t="s">
        <v>39</v>
      </c>
      <c r="F38" s="102">
        <f>Formulas!C39</f>
        <v>0</v>
      </c>
      <c r="G38" s="37"/>
    </row>
    <row r="39" spans="2:8" ht="12.75" customHeight="1" thickBot="1" x14ac:dyDescent="0.3">
      <c r="B39" s="142"/>
      <c r="C39" s="142"/>
      <c r="E39" s="85"/>
      <c r="F39" s="118"/>
      <c r="G39" s="37"/>
    </row>
    <row r="40" spans="2:8" ht="18.75" customHeight="1" thickTop="1" thickBot="1" x14ac:dyDescent="0.3">
      <c r="B40" s="201" t="s">
        <v>40</v>
      </c>
      <c r="C40" s="202"/>
      <c r="D40" s="119">
        <f>SUM(C38,F38)</f>
        <v>25583.333333333339</v>
      </c>
      <c r="E40" s="117"/>
      <c r="F40" s="101"/>
      <c r="G40" s="37"/>
    </row>
    <row r="41" spans="2:8" ht="16.5" thickTop="1" thickBot="1" x14ac:dyDescent="0.3">
      <c r="B41" s="143"/>
      <c r="C41" s="143"/>
      <c r="D41" s="144"/>
      <c r="E41" s="117"/>
      <c r="F41" s="101"/>
      <c r="G41" s="37"/>
    </row>
    <row r="42" spans="2:8" ht="17.25" customHeight="1" thickTop="1" x14ac:dyDescent="0.2">
      <c r="B42" s="191" t="s">
        <v>41</v>
      </c>
      <c r="C42" s="192"/>
      <c r="D42" s="99">
        <f>Formulas!C41</f>
        <v>0</v>
      </c>
      <c r="E42" s="49"/>
      <c r="F42" s="11"/>
      <c r="G42" s="37"/>
    </row>
    <row r="43" spans="2:8" ht="21.75" customHeight="1" x14ac:dyDescent="0.2">
      <c r="B43" s="190" t="s">
        <v>42</v>
      </c>
      <c r="C43" s="177"/>
      <c r="D43" s="108">
        <f>Formulas!C42</f>
        <v>307000.00000000006</v>
      </c>
      <c r="E43" s="49"/>
      <c r="F43" s="11"/>
      <c r="G43" s="37"/>
    </row>
    <row r="44" spans="2:8" ht="21.75" customHeight="1" thickBot="1" x14ac:dyDescent="0.25">
      <c r="B44" s="124"/>
      <c r="C44" s="114" t="s">
        <v>43</v>
      </c>
      <c r="D44" s="98">
        <f>SUM(D42:D43)</f>
        <v>307000.00000000006</v>
      </c>
      <c r="E44" s="49"/>
      <c r="F44" s="11"/>
      <c r="G44" s="37"/>
    </row>
    <row r="45" spans="2:8" ht="16.5" thickTop="1" thickBot="1" x14ac:dyDescent="0.25">
      <c r="B45" s="4"/>
      <c r="C45" s="5"/>
      <c r="E45" s="49"/>
      <c r="F45" s="11"/>
      <c r="G45" s="37"/>
    </row>
    <row r="46" spans="2:8" s="106" customFormat="1" ht="24" customHeight="1" thickTop="1" x14ac:dyDescent="0.25">
      <c r="B46" s="199" t="s">
        <v>44</v>
      </c>
      <c r="C46" s="192"/>
      <c r="D46" s="99">
        <f>SUM(D27*F27)</f>
        <v>0</v>
      </c>
      <c r="E46" s="104"/>
      <c r="F46" s="107"/>
      <c r="G46" s="105"/>
    </row>
    <row r="47" spans="2:8" s="106" customFormat="1" ht="24" customHeight="1" x14ac:dyDescent="0.25">
      <c r="B47" s="190" t="s">
        <v>45</v>
      </c>
      <c r="C47" s="177"/>
      <c r="D47" s="108">
        <f>SUM(D27*65)</f>
        <v>0</v>
      </c>
      <c r="E47" s="104"/>
      <c r="F47" s="107"/>
      <c r="G47" s="105"/>
    </row>
    <row r="48" spans="2:8" ht="33.75" customHeight="1" thickBot="1" x14ac:dyDescent="0.25">
      <c r="B48" s="197" t="s">
        <v>46</v>
      </c>
      <c r="C48" s="198"/>
      <c r="D48" s="98">
        <f>SUM(D46-D47)</f>
        <v>0</v>
      </c>
      <c r="E48" s="49"/>
      <c r="F48" s="11"/>
      <c r="G48" s="37"/>
    </row>
    <row r="49" spans="2:9" ht="16.5" thickTop="1" thickBot="1" x14ac:dyDescent="0.25">
      <c r="B49" s="4"/>
      <c r="C49" s="5"/>
      <c r="E49" s="49"/>
      <c r="F49" s="11"/>
      <c r="G49" s="37"/>
    </row>
    <row r="50" spans="2:9" s="4" customFormat="1" ht="15.75" thickTop="1" x14ac:dyDescent="0.25">
      <c r="B50" s="193" t="s">
        <v>47</v>
      </c>
      <c r="C50" s="194"/>
      <c r="D50" s="81">
        <f>Formulas!C47</f>
        <v>240758.80000000005</v>
      </c>
      <c r="E50" s="82"/>
      <c r="F50" s="13"/>
      <c r="G50" s="37"/>
      <c r="I50" s="5"/>
    </row>
    <row r="51" spans="2:9" s="4" customFormat="1" ht="15.75" thickBot="1" x14ac:dyDescent="0.3">
      <c r="B51" s="185" t="s">
        <v>48</v>
      </c>
      <c r="C51" s="186"/>
      <c r="D51" s="58">
        <f>Formulas!C48</f>
        <v>0.78423061889250811</v>
      </c>
      <c r="E51" s="82"/>
      <c r="F51" s="13"/>
      <c r="G51" s="37"/>
      <c r="I51" s="5"/>
    </row>
    <row r="52" spans="2:9" s="4" customFormat="1" ht="15.75" thickTop="1" x14ac:dyDescent="0.25">
      <c r="D52" s="83"/>
      <c r="F52" s="58"/>
      <c r="I52" s="5"/>
    </row>
    <row r="53" spans="2:9" s="4" customFormat="1" ht="22.5" customHeight="1" x14ac:dyDescent="0.25">
      <c r="D53" s="56" t="s">
        <v>49</v>
      </c>
      <c r="I53" s="5"/>
    </row>
    <row r="54" spans="2:9" s="4" customFormat="1" ht="32.25" customHeight="1" x14ac:dyDescent="0.25">
      <c r="D54" s="57" t="s">
        <v>50</v>
      </c>
      <c r="I54" s="5"/>
    </row>
    <row r="55" spans="2:9" s="4" customFormat="1" ht="22.5" customHeight="1" x14ac:dyDescent="0.25">
      <c r="D55" s="56" t="s">
        <v>51</v>
      </c>
      <c r="I55" s="5"/>
    </row>
    <row r="56" spans="2:9" s="4" customFormat="1" ht="30" customHeight="1" x14ac:dyDescent="0.2">
      <c r="D56" s="1"/>
      <c r="E56" s="18"/>
      <c r="I56" s="5"/>
    </row>
    <row r="57" spans="2:9" s="4" customFormat="1" ht="15" x14ac:dyDescent="0.25">
      <c r="D57" s="17"/>
      <c r="E57" s="14"/>
    </row>
    <row r="58" spans="2:9" s="4" customFormat="1" x14ac:dyDescent="0.25">
      <c r="I58" s="7"/>
    </row>
    <row r="59" spans="2:9" s="4" customFormat="1" x14ac:dyDescent="0.2">
      <c r="B59" s="1"/>
      <c r="C59" s="1"/>
      <c r="D59" s="1"/>
      <c r="E59" s="1"/>
      <c r="I59" s="7"/>
    </row>
    <row r="60" spans="2:9" s="4" customFormat="1" x14ac:dyDescent="0.2">
      <c r="B60" s="1"/>
      <c r="C60" s="1"/>
      <c r="D60" s="1"/>
      <c r="E60" s="1"/>
      <c r="I60" s="7"/>
    </row>
    <row r="61" spans="2:9" s="4" customFormat="1" ht="15" x14ac:dyDescent="0.2">
      <c r="B61" s="1"/>
      <c r="C61" s="1"/>
      <c r="D61" s="1"/>
      <c r="E61" s="1"/>
      <c r="I61" s="8"/>
    </row>
    <row r="62" spans="2:9" s="4" customFormat="1" x14ac:dyDescent="0.2">
      <c r="B62" s="1"/>
      <c r="C62" s="1"/>
      <c r="D62" s="1"/>
      <c r="E62" s="1"/>
    </row>
    <row r="63" spans="2:9" s="4" customFormat="1" x14ac:dyDescent="0.2">
      <c r="B63" s="1"/>
      <c r="C63" s="1"/>
      <c r="D63" s="1"/>
      <c r="E63" s="1"/>
      <c r="I63" s="7"/>
    </row>
    <row r="64" spans="2:9" s="4" customFormat="1" x14ac:dyDescent="0.2">
      <c r="B64" s="1"/>
      <c r="C64" s="1"/>
      <c r="D64" s="1"/>
      <c r="E64" s="1"/>
    </row>
    <row r="65" spans="2:5" s="4" customFormat="1" x14ac:dyDescent="0.2">
      <c r="B65" s="3"/>
      <c r="C65" s="1"/>
      <c r="D65" s="1"/>
      <c r="E65" s="1"/>
    </row>
    <row r="66" spans="2:5" s="4" customFormat="1" x14ac:dyDescent="0.2">
      <c r="B66" s="1"/>
      <c r="C66" s="1"/>
      <c r="D66" s="1"/>
      <c r="E66" s="1"/>
    </row>
    <row r="67" spans="2:5" s="4" customFormat="1" x14ac:dyDescent="0.2">
      <c r="B67" s="1"/>
      <c r="C67" s="1"/>
      <c r="D67" s="1"/>
      <c r="E67" s="1"/>
    </row>
    <row r="68" spans="2:5" s="4" customFormat="1" x14ac:dyDescent="0.2">
      <c r="B68" s="1"/>
      <c r="C68" s="1"/>
      <c r="D68" s="1"/>
      <c r="E68" s="1"/>
    </row>
    <row r="69" spans="2:5" s="4" customFormat="1" x14ac:dyDescent="0.2">
      <c r="B69" s="1"/>
      <c r="C69" s="1"/>
      <c r="D69" s="1"/>
      <c r="E69" s="1"/>
    </row>
  </sheetData>
  <mergeCells count="34">
    <mergeCell ref="G24:G25"/>
    <mergeCell ref="B51:C51"/>
    <mergeCell ref="G36:G37"/>
    <mergeCell ref="B24:C24"/>
    <mergeCell ref="E31:F31"/>
    <mergeCell ref="B43:C43"/>
    <mergeCell ref="B42:C42"/>
    <mergeCell ref="B50:C50"/>
    <mergeCell ref="B26:C26"/>
    <mergeCell ref="B27:C27"/>
    <mergeCell ref="B48:C48"/>
    <mergeCell ref="B46:C46"/>
    <mergeCell ref="B47:C47"/>
    <mergeCell ref="B31:C31"/>
    <mergeCell ref="B25:C25"/>
    <mergeCell ref="B40:C40"/>
    <mergeCell ref="B2:E2"/>
    <mergeCell ref="C3:D3"/>
    <mergeCell ref="B4:C4"/>
    <mergeCell ref="B5:C5"/>
    <mergeCell ref="B6:C6"/>
    <mergeCell ref="B28:C28"/>
    <mergeCell ref="E24:E25"/>
    <mergeCell ref="F24:F25"/>
    <mergeCell ref="B18:F18"/>
    <mergeCell ref="B8:F8"/>
    <mergeCell ref="C9:E9"/>
    <mergeCell ref="B10:D10"/>
    <mergeCell ref="B19:C19"/>
    <mergeCell ref="B20:C20"/>
    <mergeCell ref="B21:C21"/>
    <mergeCell ref="B22:C22"/>
    <mergeCell ref="B23:C23"/>
    <mergeCell ref="E28:F29"/>
  </mergeCells>
  <conditionalFormatting sqref="D51">
    <cfRule type="cellIs" dxfId="6" priority="17" operator="between">
      <formula>0.596</formula>
      <formula>2</formula>
    </cfRule>
    <cfRule type="cellIs" dxfId="5" priority="18" operator="between">
      <formula>0.396</formula>
      <formula>0.595</formula>
    </cfRule>
    <cfRule type="cellIs" dxfId="4" priority="19" operator="between">
      <formula>0</formula>
      <formula>0.395</formula>
    </cfRule>
  </conditionalFormatting>
  <conditionalFormatting sqref="D53">
    <cfRule type="containsText" dxfId="3" priority="1" operator="containsText" text="Good">
      <formula>NOT(ISERROR(SEARCH("Good",D53)))</formula>
    </cfRule>
  </conditionalFormatting>
  <conditionalFormatting sqref="D54">
    <cfRule type="containsText" dxfId="2" priority="6" operator="containsText" text="Can">
      <formula>NOT(ISERROR(SEARCH("Can",D54)))</formula>
    </cfRule>
  </conditionalFormatting>
  <conditionalFormatting sqref="D55">
    <cfRule type="containsText" dxfId="1" priority="11" operator="containsText" text="Deal">
      <formula>NOT(ISERROR(SEARCH("Deal",D55)))</formula>
    </cfRule>
  </conditionalFormatting>
  <conditionalFormatting sqref="F52">
    <cfRule type="containsText" dxfId="0" priority="3" operator="containsText" text="Good">
      <formula>NOT(ISERROR(SEARCH("Good",F52)))</formula>
    </cfRule>
  </conditionalFormatting>
  <dataValidations count="1">
    <dataValidation type="list" allowBlank="1" showInputMessage="1" showErrorMessage="1" prompt="Select Option" sqref="D25" xr:uid="{D03C496E-34ED-4E61-B2F6-D0C52916DE51}">
      <formula1>"$0, $320"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152400</xdr:colOff>
                    <xdr:row>9</xdr:row>
                    <xdr:rowOff>0</xdr:rowOff>
                  </from>
                  <to>
                    <xdr:col>4</xdr:col>
                    <xdr:colOff>1800225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39BCF95A-058B-4F88-A748-36864FED580A}">
            <xm:f>NOT(ISERROR(SEARCH("-",D51)))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677D-8442-48A4-9D15-EE58131B4C3C}">
  <sheetPr codeName="Sheet2"/>
  <dimension ref="A2:H48"/>
  <sheetViews>
    <sheetView workbookViewId="0">
      <selection activeCell="A8" sqref="A8"/>
    </sheetView>
  </sheetViews>
  <sheetFormatPr defaultColWidth="9.140625" defaultRowHeight="15" x14ac:dyDescent="0.25"/>
  <cols>
    <col min="1" max="1" width="45.42578125" style="38" customWidth="1"/>
    <col min="2" max="2" width="39.7109375" style="38" customWidth="1"/>
    <col min="3" max="3" width="42.85546875" style="38" customWidth="1"/>
    <col min="4" max="4" width="34.42578125" style="38" customWidth="1"/>
    <col min="5" max="5" width="27.5703125" style="38" customWidth="1"/>
    <col min="6" max="6" width="24.85546875" style="38" customWidth="1"/>
    <col min="7" max="7" width="45.140625" style="38" customWidth="1"/>
    <col min="8" max="16384" width="9.140625" style="38"/>
  </cols>
  <sheetData>
    <row r="2" spans="1:7" x14ac:dyDescent="0.25">
      <c r="A2" s="38" t="s">
        <v>52</v>
      </c>
      <c r="B2" s="39">
        <f>Model!D4</f>
        <v>4000</v>
      </c>
      <c r="C2" s="39"/>
    </row>
    <row r="3" spans="1:7" x14ac:dyDescent="0.25">
      <c r="A3" s="38" t="s">
        <v>53</v>
      </c>
      <c r="B3" s="39">
        <f>Model!D5</f>
        <v>12000000</v>
      </c>
      <c r="C3" s="39"/>
    </row>
    <row r="5" spans="1:7" x14ac:dyDescent="0.25">
      <c r="A5" s="38" t="s">
        <v>54</v>
      </c>
    </row>
    <row r="6" spans="1:7" x14ac:dyDescent="0.25">
      <c r="A6" s="38" t="s">
        <v>55</v>
      </c>
      <c r="B6" s="44">
        <f>Model!F13</f>
        <v>3200</v>
      </c>
      <c r="C6" s="44"/>
    </row>
    <row r="7" spans="1:7" x14ac:dyDescent="0.25">
      <c r="A7" s="38" t="s">
        <v>17</v>
      </c>
      <c r="B7" s="44">
        <f>Model!F15</f>
        <v>200</v>
      </c>
      <c r="C7" s="44"/>
    </row>
    <row r="8" spans="1:7" x14ac:dyDescent="0.25">
      <c r="A8" s="133" t="b">
        <v>1</v>
      </c>
      <c r="B8" s="44"/>
      <c r="C8" s="44"/>
    </row>
    <row r="10" spans="1:7" x14ac:dyDescent="0.25">
      <c r="A10" s="38" t="s">
        <v>56</v>
      </c>
      <c r="B10" s="38" t="s">
        <v>57</v>
      </c>
      <c r="C10" s="62"/>
      <c r="D10" s="38" t="s">
        <v>58</v>
      </c>
      <c r="E10" s="38" t="s">
        <v>59</v>
      </c>
      <c r="F10" s="38" t="s">
        <v>60</v>
      </c>
    </row>
    <row r="11" spans="1:7" ht="30" x14ac:dyDescent="0.25">
      <c r="A11" s="40" t="s">
        <v>61</v>
      </c>
      <c r="B11" s="41">
        <v>525</v>
      </c>
      <c r="C11" s="63"/>
      <c r="D11" s="42" t="s">
        <v>62</v>
      </c>
      <c r="E11" s="138">
        <v>5.0000000000000001E-3</v>
      </c>
      <c r="F11" s="122">
        <f>SUM(Model!D22*E11)</f>
        <v>20</v>
      </c>
      <c r="G11" s="69" t="s">
        <v>101</v>
      </c>
    </row>
    <row r="12" spans="1:7" ht="45" x14ac:dyDescent="0.25">
      <c r="A12" s="40" t="s">
        <v>63</v>
      </c>
      <c r="B12" s="41">
        <f>5*70</f>
        <v>350</v>
      </c>
      <c r="C12" s="64" t="s">
        <v>64</v>
      </c>
      <c r="D12" s="42" t="s">
        <v>65</v>
      </c>
      <c r="E12" s="120">
        <v>0.03</v>
      </c>
      <c r="F12" s="122">
        <f>Model!D22*0.05*E12</f>
        <v>6</v>
      </c>
      <c r="G12" s="70" t="s">
        <v>100</v>
      </c>
    </row>
    <row r="13" spans="1:7" ht="30" customHeight="1" x14ac:dyDescent="0.25">
      <c r="A13" s="40" t="s">
        <v>66</v>
      </c>
      <c r="B13" s="41">
        <f>Model!D25</f>
        <v>320</v>
      </c>
      <c r="C13" s="64" t="s">
        <v>67</v>
      </c>
      <c r="D13" s="42" t="s">
        <v>68</v>
      </c>
      <c r="E13" s="120">
        <v>0.02</v>
      </c>
      <c r="F13" s="122">
        <f>SUM(Model!D23*0.1*E13)</f>
        <v>8</v>
      </c>
      <c r="G13" s="69" t="s">
        <v>102</v>
      </c>
    </row>
    <row r="14" spans="1:7" ht="36.75" customHeight="1" x14ac:dyDescent="0.25">
      <c r="A14" s="40" t="s">
        <v>69</v>
      </c>
      <c r="B14" s="41">
        <v>1000</v>
      </c>
      <c r="C14" s="67" t="s">
        <v>70</v>
      </c>
      <c r="D14" s="42" t="s">
        <v>71</v>
      </c>
      <c r="E14" s="120">
        <v>0.502</v>
      </c>
      <c r="F14" s="122">
        <f>SUM(Model!D21*E14)</f>
        <v>2008</v>
      </c>
      <c r="G14" s="69" t="s">
        <v>103</v>
      </c>
    </row>
    <row r="15" spans="1:7" ht="45" x14ac:dyDescent="0.25">
      <c r="A15" s="40" t="s">
        <v>72</v>
      </c>
      <c r="B15" s="41">
        <f>SUM(600*65)/Model!D20</f>
        <v>650</v>
      </c>
      <c r="C15" s="65" t="s">
        <v>73</v>
      </c>
      <c r="D15" s="42" t="s">
        <v>74</v>
      </c>
      <c r="E15" s="120">
        <v>0.25</v>
      </c>
      <c r="F15" s="122">
        <f>SUM(B$2*0.1*E15)</f>
        <v>100</v>
      </c>
      <c r="G15" s="69" t="s">
        <v>75</v>
      </c>
    </row>
    <row r="16" spans="1:7" ht="30" x14ac:dyDescent="0.25">
      <c r="A16" s="40" t="s">
        <v>76</v>
      </c>
      <c r="B16" s="41">
        <f>SUM(11/Model!D20)</f>
        <v>0.18333333333333332</v>
      </c>
      <c r="C16" s="65" t="s">
        <v>77</v>
      </c>
      <c r="D16" s="42" t="s">
        <v>78</v>
      </c>
      <c r="E16" s="121">
        <v>0.81</v>
      </c>
      <c r="F16" s="122">
        <f>B7*3*E16</f>
        <v>486.00000000000006</v>
      </c>
      <c r="G16" s="69" t="s">
        <v>111</v>
      </c>
    </row>
    <row r="17" spans="1:8" ht="30" x14ac:dyDescent="0.25">
      <c r="A17" s="40" t="s">
        <v>79</v>
      </c>
      <c r="B17" s="41">
        <v>2.5</v>
      </c>
      <c r="C17" s="65" t="s">
        <v>80</v>
      </c>
      <c r="D17" s="42" t="s">
        <v>81</v>
      </c>
      <c r="E17" s="121">
        <f>SUM(533/Model!D20)</f>
        <v>8.8833333333333329</v>
      </c>
      <c r="F17" s="122">
        <f>E17*E19</f>
        <v>44.416666666666664</v>
      </c>
      <c r="G17" s="69" t="s">
        <v>82</v>
      </c>
    </row>
    <row r="18" spans="1:8" x14ac:dyDescent="0.25">
      <c r="A18" s="38" t="s">
        <v>83</v>
      </c>
      <c r="B18" s="79">
        <f>Model!D24</f>
        <v>0</v>
      </c>
      <c r="C18" s="62"/>
      <c r="D18" s="42"/>
      <c r="E18" s="43"/>
      <c r="F18" s="71"/>
      <c r="G18" s="66"/>
    </row>
    <row r="19" spans="1:8" x14ac:dyDescent="0.25">
      <c r="C19" s="62"/>
      <c r="D19" s="38" t="s">
        <v>84</v>
      </c>
      <c r="E19" s="47">
        <f>Model!D19</f>
        <v>5</v>
      </c>
      <c r="F19" s="42"/>
    </row>
    <row r="20" spans="1:8" x14ac:dyDescent="0.25">
      <c r="C20" s="62"/>
      <c r="E20" s="47"/>
      <c r="F20" s="71"/>
    </row>
    <row r="21" spans="1:8" x14ac:dyDescent="0.25">
      <c r="C21" s="62"/>
      <c r="E21" s="73"/>
      <c r="F21" s="73"/>
    </row>
    <row r="22" spans="1:8" x14ac:dyDescent="0.25">
      <c r="C22" s="62"/>
      <c r="E22" s="47"/>
      <c r="F22" s="42"/>
    </row>
    <row r="23" spans="1:8" x14ac:dyDescent="0.25">
      <c r="A23" s="76" t="s">
        <v>85</v>
      </c>
      <c r="B23" s="74">
        <f>SUM(B11:B17)</f>
        <v>2847.6833333333334</v>
      </c>
      <c r="C23" s="77"/>
      <c r="D23" s="78"/>
      <c r="E23" s="78" t="s">
        <v>86</v>
      </c>
      <c r="F23" s="123">
        <f>SUM(F11:F17)</f>
        <v>2672.4166666666665</v>
      </c>
    </row>
    <row r="27" spans="1:8" x14ac:dyDescent="0.25">
      <c r="B27" s="55" t="s">
        <v>105</v>
      </c>
      <c r="C27" s="45">
        <f>SUM(B23,F23)</f>
        <v>5520.1</v>
      </c>
    </row>
    <row r="28" spans="1:8" x14ac:dyDescent="0.25">
      <c r="B28" s="55" t="s">
        <v>87</v>
      </c>
      <c r="C28" s="45">
        <f>SUM(C27/B2)</f>
        <v>1.3800250000000001</v>
      </c>
    </row>
    <row r="29" spans="1:8" x14ac:dyDescent="0.25">
      <c r="B29" s="55" t="s">
        <v>88</v>
      </c>
      <c r="C29" s="45">
        <f>IF(A8,0,C28*1.5)</f>
        <v>0</v>
      </c>
      <c r="F29" s="134"/>
      <c r="H29" s="116"/>
    </row>
    <row r="30" spans="1:8" x14ac:dyDescent="0.25">
      <c r="B30" s="55" t="s">
        <v>89</v>
      </c>
      <c r="C30" s="45">
        <f>SUM(Model!D26*Model!F26)</f>
        <v>0</v>
      </c>
      <c r="H30" s="116"/>
    </row>
    <row r="31" spans="1:8" x14ac:dyDescent="0.25">
      <c r="B31" s="55" t="s">
        <v>104</v>
      </c>
      <c r="C31" s="45">
        <f>Model!F24</f>
        <v>0</v>
      </c>
      <c r="F31" s="141"/>
      <c r="H31" s="116"/>
    </row>
    <row r="32" spans="1:8" x14ac:dyDescent="0.25">
      <c r="B32" s="55" t="s">
        <v>90</v>
      </c>
      <c r="C32" s="45">
        <f>SUM(B2*C29)+C30+C31</f>
        <v>0</v>
      </c>
    </row>
    <row r="33" spans="2:6" x14ac:dyDescent="0.25">
      <c r="B33" s="55"/>
      <c r="C33" s="45"/>
      <c r="F33" s="134"/>
    </row>
    <row r="34" spans="2:6" x14ac:dyDescent="0.25">
      <c r="B34" s="55" t="s">
        <v>91</v>
      </c>
      <c r="C34" s="45">
        <f>SUM(Model!C37/12)</f>
        <v>25583.333333333339</v>
      </c>
    </row>
    <row r="35" spans="2:6" x14ac:dyDescent="0.25">
      <c r="B35" s="55"/>
      <c r="C35" s="45"/>
    </row>
    <row r="36" spans="2:6" x14ac:dyDescent="0.25">
      <c r="B36" s="55" t="s">
        <v>95</v>
      </c>
      <c r="C36" s="45">
        <f>Model!F34</f>
        <v>0</v>
      </c>
    </row>
    <row r="37" spans="2:6" x14ac:dyDescent="0.25">
      <c r="B37" s="55" t="s">
        <v>97</v>
      </c>
      <c r="C37" s="80">
        <f>Model!F36</f>
        <v>0</v>
      </c>
    </row>
    <row r="38" spans="2:6" x14ac:dyDescent="0.25">
      <c r="B38" s="55" t="s">
        <v>98</v>
      </c>
      <c r="C38" s="80">
        <f>Model!F37</f>
        <v>0</v>
      </c>
    </row>
    <row r="39" spans="2:6" x14ac:dyDescent="0.25">
      <c r="B39" s="55" t="s">
        <v>92</v>
      </c>
      <c r="C39" s="45">
        <f>SUM(C32+C36-C37-C38)</f>
        <v>0</v>
      </c>
    </row>
    <row r="40" spans="2:6" x14ac:dyDescent="0.25">
      <c r="B40" s="55"/>
      <c r="C40" s="45"/>
    </row>
    <row r="41" spans="2:6" x14ac:dyDescent="0.25">
      <c r="B41" s="55" t="s">
        <v>41</v>
      </c>
      <c r="C41" s="45">
        <f>SUM(C39*12)</f>
        <v>0</v>
      </c>
    </row>
    <row r="42" spans="2:6" x14ac:dyDescent="0.25">
      <c r="B42" s="75" t="s">
        <v>116</v>
      </c>
      <c r="C42" s="134">
        <f>Model!C37</f>
        <v>307000.00000000006</v>
      </c>
    </row>
    <row r="43" spans="2:6" x14ac:dyDescent="0.25">
      <c r="B43" s="75" t="s">
        <v>93</v>
      </c>
      <c r="C43" s="45">
        <f>SUM(C41:C42)</f>
        <v>307000.00000000006</v>
      </c>
      <c r="D43" s="45"/>
    </row>
    <row r="44" spans="2:6" x14ac:dyDescent="0.25">
      <c r="B44" s="75" t="s">
        <v>106</v>
      </c>
      <c r="C44" s="45">
        <f>SUM(C27+B18)</f>
        <v>5520.1</v>
      </c>
      <c r="D44" s="45"/>
    </row>
    <row r="45" spans="2:6" x14ac:dyDescent="0.25">
      <c r="B45" s="55" t="s">
        <v>94</v>
      </c>
      <c r="C45" s="45">
        <f>SUM(C44*12)</f>
        <v>66241.200000000012</v>
      </c>
    </row>
    <row r="46" spans="2:6" x14ac:dyDescent="0.25">
      <c r="B46" s="55"/>
      <c r="C46" s="45"/>
    </row>
    <row r="47" spans="2:6" x14ac:dyDescent="0.25">
      <c r="B47" s="55" t="s">
        <v>47</v>
      </c>
      <c r="C47" s="45">
        <f>C43-C45</f>
        <v>240758.80000000005</v>
      </c>
    </row>
    <row r="48" spans="2:6" x14ac:dyDescent="0.25">
      <c r="B48" s="55" t="s">
        <v>48</v>
      </c>
      <c r="C48" s="54">
        <f>C47/C43</f>
        <v>0.78423061889250811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78A863644FB4B9E65205210EE6D43" ma:contentTypeVersion="14" ma:contentTypeDescription="Create a new document." ma:contentTypeScope="" ma:versionID="7533fb9b0a6b1e03ea47c8a0216e41fd">
  <xsd:schema xmlns:xsd="http://www.w3.org/2001/XMLSchema" xmlns:xs="http://www.w3.org/2001/XMLSchema" xmlns:p="http://schemas.microsoft.com/office/2006/metadata/properties" xmlns:ns2="e0602681-8362-43b2-8fac-c7a30d36e680" xmlns:ns3="b35f5486-5537-45c6-955c-cbbbddea56ce" targetNamespace="http://schemas.microsoft.com/office/2006/metadata/properties" ma:root="true" ma:fieldsID="b817cddcca7661bbf9ad87afe2d8865d" ns2:_="" ns3:_="">
    <xsd:import namespace="e0602681-8362-43b2-8fac-c7a30d36e680"/>
    <xsd:import namespace="b35f5486-5537-45c6-955c-cbbbddea56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Rozanne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02681-8362-43b2-8fac-c7a30d36e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Rozanne" ma:index="20" nillable="true" ma:displayName="Approved by Compliance" ma:description="If a date is included in this column it indicates the date Regulatory Compliance approved the video. " ma:format="DateTime" ma:internalName="Rozanne">
      <xsd:simpleType>
        <xsd:restriction base="dms:DateTime"/>
      </xsd:simpleType>
    </xsd:element>
    <xsd:element name="Notes" ma:index="21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f5486-5537-45c6-955c-cbbbddea56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e0602681-8362-43b2-8fac-c7a30d36e680" xsi:nil="true"/>
    <Rozanne xmlns="e0602681-8362-43b2-8fac-c7a30d36e680" xsi:nil="true"/>
  </documentManagement>
</p:properties>
</file>

<file path=customXml/itemProps1.xml><?xml version="1.0" encoding="utf-8"?>
<ds:datastoreItem xmlns:ds="http://schemas.openxmlformats.org/officeDocument/2006/customXml" ds:itemID="{91D834A7-AA43-4D39-9A28-45FD906DB7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02681-8362-43b2-8fac-c7a30d36e680"/>
    <ds:schemaRef ds:uri="b35f5486-5537-45c6-955c-cbbbddea56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1B16B1-BDF5-4B0B-BEDB-90387D22C4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8D183E-8804-400D-BA77-B7659C94C6C9}">
  <ds:schemaRefs>
    <ds:schemaRef ds:uri="http://schemas.microsoft.com/office/2006/metadata/properties"/>
    <ds:schemaRef ds:uri="http://schemas.microsoft.com/office/infopath/2007/PartnerControls"/>
    <ds:schemaRef ds:uri="e0602681-8362-43b2-8fac-c7a30d36e6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</vt:lpstr>
      <vt:lpstr>Formulas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DiRe</dc:creator>
  <cp:keywords/>
  <dc:description/>
  <cp:lastModifiedBy>Sharon DiRe</cp:lastModifiedBy>
  <cp:revision/>
  <dcterms:created xsi:type="dcterms:W3CDTF">2021-05-06T04:05:34Z</dcterms:created>
  <dcterms:modified xsi:type="dcterms:W3CDTF">2023-10-05T21:56:19Z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0x0101005C878A863644FB4B9E65205210EE6D43</vt:lpwstr>
  </property>
</Properties>
</file>